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600" windowHeight="1792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45" i="1"/>
  <c r="I44"/>
  <c r="I43"/>
  <c r="E42"/>
  <c r="K40"/>
  <c r="J40"/>
  <c r="E40"/>
  <c r="K39"/>
  <c r="J39"/>
  <c r="E39"/>
  <c r="P36"/>
  <c r="P35"/>
  <c r="K35"/>
  <c r="J35"/>
  <c r="P34"/>
  <c r="K34"/>
  <c r="J34"/>
  <c r="P33"/>
  <c r="K33"/>
  <c r="J33"/>
  <c r="E33"/>
  <c r="P32"/>
  <c r="K32"/>
  <c r="J32"/>
  <c r="E32"/>
  <c r="R31"/>
  <c r="Q31"/>
  <c r="K31"/>
  <c r="J31"/>
  <c r="E31"/>
  <c r="R30"/>
  <c r="Q30"/>
  <c r="K30"/>
  <c r="J30"/>
  <c r="I26"/>
  <c r="K25"/>
  <c r="J25"/>
  <c r="I24"/>
  <c r="I23"/>
  <c r="K22"/>
  <c r="J22"/>
  <c r="E22"/>
  <c r="C18"/>
  <c r="C17"/>
  <c r="I15"/>
  <c r="E13"/>
  <c r="E12"/>
  <c r="K11"/>
  <c r="J11"/>
  <c r="E11"/>
  <c r="K10"/>
  <c r="J10"/>
  <c r="E10"/>
  <c r="P9"/>
  <c r="K9"/>
  <c r="J9"/>
  <c r="E9"/>
  <c r="P8"/>
  <c r="J8"/>
  <c r="E8"/>
  <c r="P7"/>
  <c r="J7"/>
  <c r="E7"/>
  <c r="R6"/>
  <c r="Q6"/>
</calcChain>
</file>

<file path=xl/sharedStrings.xml><?xml version="1.0" encoding="utf-8"?>
<sst xmlns="http://schemas.openxmlformats.org/spreadsheetml/2006/main" count="92" uniqueCount="82">
  <si>
    <t>Y</t>
    <phoneticPr fontId="3" type="noConversion"/>
  </si>
  <si>
    <t>adjested length</t>
    <phoneticPr fontId="3" type="noConversion"/>
  </si>
  <si>
    <t>r</t>
    <phoneticPr fontId="3" type="noConversion"/>
  </si>
  <si>
    <t>adjested angle</t>
    <phoneticPr fontId="3" type="noConversion"/>
  </si>
  <si>
    <t>j</t>
    <phoneticPr fontId="3" type="noConversion"/>
  </si>
  <si>
    <t>DT-fork a</t>
    <phoneticPr fontId="3" type="noConversion"/>
  </si>
  <si>
    <t>FC (Q)</t>
    <phoneticPr fontId="3" type="noConversion"/>
  </si>
  <si>
    <t>Front Center</t>
    <phoneticPr fontId="3" type="noConversion"/>
  </si>
  <si>
    <t>k</t>
    <phoneticPr fontId="3" type="noConversion"/>
  </si>
  <si>
    <t>FC-DT angle</t>
    <phoneticPr fontId="3" type="noConversion"/>
  </si>
  <si>
    <t>m</t>
    <phoneticPr fontId="3" type="noConversion"/>
  </si>
  <si>
    <t>FC-CS angle</t>
    <phoneticPr fontId="3" type="noConversion"/>
  </si>
  <si>
    <t>DT-CS angle</t>
    <phoneticPr fontId="3" type="noConversion"/>
  </si>
  <si>
    <t>W (P)</t>
    <phoneticPr fontId="3" type="noConversion"/>
  </si>
  <si>
    <t>Wheel Base</t>
    <phoneticPr fontId="3" type="noConversion"/>
  </si>
  <si>
    <t>D</t>
    <phoneticPr fontId="3" type="noConversion"/>
  </si>
  <si>
    <t>BB drop</t>
    <phoneticPr fontId="3" type="noConversion"/>
  </si>
  <si>
    <t>s</t>
    <phoneticPr fontId="3" type="noConversion"/>
  </si>
  <si>
    <t>CS-W angle</t>
    <phoneticPr fontId="3" type="noConversion"/>
  </si>
  <si>
    <t>BB height</t>
    <phoneticPr fontId="3" type="noConversion"/>
  </si>
  <si>
    <t>crank</t>
    <phoneticPr fontId="3" type="noConversion"/>
  </si>
  <si>
    <t>toe clear</t>
    <phoneticPr fontId="3" type="noConversion"/>
  </si>
  <si>
    <t>Seat Angle</t>
    <phoneticPr fontId="3" type="noConversion"/>
  </si>
  <si>
    <t>Head Angle</t>
    <phoneticPr fontId="3" type="noConversion"/>
  </si>
  <si>
    <t>TT incline</t>
    <phoneticPr fontId="3" type="noConversion"/>
  </si>
  <si>
    <t>Trail</t>
    <phoneticPr fontId="3" type="noConversion"/>
  </si>
  <si>
    <t>Front triangle</t>
    <phoneticPr fontId="3" type="noConversion"/>
  </si>
  <si>
    <t>rear triangle</t>
    <phoneticPr fontId="3" type="noConversion"/>
  </si>
  <si>
    <t>fork</t>
    <phoneticPr fontId="3" type="noConversion"/>
  </si>
  <si>
    <t>fork</t>
    <phoneticPr fontId="3" type="noConversion"/>
  </si>
  <si>
    <t>input</t>
    <phoneticPr fontId="3" type="noConversion"/>
  </si>
  <si>
    <t>output</t>
    <phoneticPr fontId="3" type="noConversion"/>
  </si>
  <si>
    <t>intermediates</t>
    <phoneticPr fontId="3" type="noConversion"/>
  </si>
  <si>
    <t>mm</t>
    <phoneticPr fontId="3" type="noConversion"/>
  </si>
  <si>
    <t>inches</t>
    <phoneticPr fontId="3" type="noConversion"/>
  </si>
  <si>
    <t>ST c-c</t>
    <phoneticPr fontId="3" type="noConversion"/>
  </si>
  <si>
    <t>TT c-c</t>
    <phoneticPr fontId="3" type="noConversion"/>
  </si>
  <si>
    <t>"builde angle"</t>
    <phoneticPr fontId="3" type="noConversion"/>
  </si>
  <si>
    <t>true angle</t>
    <phoneticPr fontId="3" type="noConversion"/>
  </si>
  <si>
    <t>axle crown</t>
    <phoneticPr fontId="3" type="noConversion"/>
  </si>
  <si>
    <t>rake</t>
    <phoneticPr fontId="3" type="noConversion"/>
  </si>
  <si>
    <t>HT- DT adj</t>
    <phoneticPr fontId="3" type="noConversion"/>
  </si>
  <si>
    <t>iso size</t>
    <phoneticPr fontId="3" type="noConversion"/>
  </si>
  <si>
    <t>tire</t>
    <phoneticPr fontId="3" type="noConversion"/>
  </si>
  <si>
    <t>CS c-c</t>
    <phoneticPr fontId="3" type="noConversion"/>
  </si>
  <si>
    <t>DT-ST a</t>
    <phoneticPr fontId="3" type="noConversion"/>
  </si>
  <si>
    <t>ST-TT a</t>
    <phoneticPr fontId="3" type="noConversion"/>
  </si>
  <si>
    <t>HT-TT a</t>
    <phoneticPr fontId="3" type="noConversion"/>
  </si>
  <si>
    <t>HT-DT a</t>
    <phoneticPr fontId="3" type="noConversion"/>
  </si>
  <si>
    <t>DT c-c</t>
    <phoneticPr fontId="3" type="noConversion"/>
  </si>
  <si>
    <t>HT c-c</t>
    <phoneticPr fontId="3" type="noConversion"/>
  </si>
  <si>
    <t>ST w</t>
    <phoneticPr fontId="3" type="noConversion"/>
  </si>
  <si>
    <t>TT w</t>
    <phoneticPr fontId="3" type="noConversion"/>
  </si>
  <si>
    <t>DT w</t>
    <phoneticPr fontId="3" type="noConversion"/>
  </si>
  <si>
    <t>HT w</t>
    <phoneticPr fontId="3" type="noConversion"/>
  </si>
  <si>
    <t>TT cut</t>
    <phoneticPr fontId="3" type="noConversion"/>
  </si>
  <si>
    <t>angle</t>
    <phoneticPr fontId="3" type="noConversion"/>
  </si>
  <si>
    <t>mm</t>
    <phoneticPr fontId="3" type="noConversion"/>
  </si>
  <si>
    <t>check angles</t>
    <phoneticPr fontId="3" type="noConversion"/>
  </si>
  <si>
    <t>diagonal</t>
    <phoneticPr fontId="3" type="noConversion"/>
  </si>
  <si>
    <t>X</t>
    <phoneticPr fontId="3" type="noConversion"/>
  </si>
  <si>
    <t>c</t>
    <phoneticPr fontId="3" type="noConversion"/>
  </si>
  <si>
    <t>part TT-HT</t>
    <phoneticPr fontId="3" type="noConversion"/>
  </si>
  <si>
    <t>part TT-HT</t>
    <phoneticPr fontId="3" type="noConversion"/>
  </si>
  <si>
    <t>d</t>
    <phoneticPr fontId="3" type="noConversion"/>
  </si>
  <si>
    <t>BBw</t>
    <phoneticPr fontId="3" type="noConversion"/>
  </si>
  <si>
    <t>ST cut c-t</t>
    <phoneticPr fontId="3" type="noConversion"/>
  </si>
  <si>
    <t>part ST-DT</t>
    <phoneticPr fontId="3" type="noConversion"/>
  </si>
  <si>
    <t>f</t>
    <phoneticPr fontId="3" type="noConversion"/>
  </si>
  <si>
    <t>CS-CS a</t>
    <phoneticPr fontId="3" type="noConversion"/>
  </si>
  <si>
    <t>CS project</t>
    <phoneticPr fontId="3" type="noConversion"/>
  </si>
  <si>
    <t>diameter</t>
    <phoneticPr fontId="3" type="noConversion"/>
  </si>
  <si>
    <t>radius</t>
    <phoneticPr fontId="3" type="noConversion"/>
  </si>
  <si>
    <t>SA</t>
    <phoneticPr fontId="3" type="noConversion"/>
  </si>
  <si>
    <t>steering axis</t>
    <phoneticPr fontId="3" type="noConversion"/>
  </si>
  <si>
    <t>SS-CS angle</t>
    <phoneticPr fontId="3" type="noConversion"/>
  </si>
  <si>
    <t>SS c-c</t>
    <phoneticPr fontId="3" type="noConversion"/>
  </si>
  <si>
    <t>ST-TT angle</t>
    <phoneticPr fontId="3" type="noConversion"/>
  </si>
  <si>
    <t>wheel</t>
    <phoneticPr fontId="3" type="noConversion"/>
  </si>
  <si>
    <t>DT cut c-c</t>
    <phoneticPr fontId="3" type="noConversion"/>
  </si>
  <si>
    <t>ST-CS a</t>
    <phoneticPr fontId="3" type="noConversion"/>
  </si>
  <si>
    <t>B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</si>
</sst>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u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2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R49"/>
  <sheetViews>
    <sheetView tabSelected="1" workbookViewId="0">
      <selection activeCell="I44" sqref="I44"/>
    </sheetView>
  </sheetViews>
  <sheetFormatPr baseColWidth="10" defaultRowHeight="13"/>
  <cols>
    <col min="9" max="9" width="15.28515625" bestFit="1" customWidth="1"/>
  </cols>
  <sheetData>
    <row r="2" spans="1:18">
      <c r="B2" t="s">
        <v>30</v>
      </c>
      <c r="J2" t="s">
        <v>31</v>
      </c>
      <c r="P2" t="s">
        <v>32</v>
      </c>
    </row>
    <row r="3" spans="1:18">
      <c r="B3" t="s">
        <v>37</v>
      </c>
      <c r="C3" t="s">
        <v>38</v>
      </c>
      <c r="D3" t="s">
        <v>33</v>
      </c>
      <c r="E3" t="s">
        <v>34</v>
      </c>
      <c r="I3" t="s">
        <v>56</v>
      </c>
      <c r="J3" t="s">
        <v>57</v>
      </c>
      <c r="K3" t="s">
        <v>34</v>
      </c>
      <c r="P3" t="s">
        <v>56</v>
      </c>
      <c r="Q3" t="s">
        <v>57</v>
      </c>
      <c r="R3" t="s">
        <v>34</v>
      </c>
    </row>
    <row r="4" spans="1:18">
      <c r="E4" s="3"/>
      <c r="J4" s="2"/>
      <c r="K4" s="2"/>
    </row>
    <row r="5" spans="1:18" s="6" customFormat="1">
      <c r="A5" s="6" t="s">
        <v>26</v>
      </c>
      <c r="E5" s="7"/>
      <c r="I5" s="6" t="s">
        <v>26</v>
      </c>
      <c r="J5" s="8"/>
      <c r="K5" s="8"/>
      <c r="P5" s="6" t="s">
        <v>26</v>
      </c>
      <c r="Q5" s="7"/>
      <c r="R5" s="7"/>
    </row>
    <row r="6" spans="1:18">
      <c r="E6" s="3"/>
      <c r="J6" s="3"/>
      <c r="K6" s="3"/>
      <c r="N6" t="s">
        <v>59</v>
      </c>
      <c r="O6" t="s">
        <v>60</v>
      </c>
      <c r="Q6" s="3">
        <f>SQRT(D7^2+D8^2-2*D7*D8*COS(RADIANS(B16)))</f>
        <v>608.7614290087206</v>
      </c>
      <c r="R6" s="3">
        <f>Q6/25.4</f>
        <v>23.966985394044119</v>
      </c>
    </row>
    <row r="7" spans="1:18">
      <c r="A7" t="s">
        <v>35</v>
      </c>
      <c r="D7" s="1">
        <v>500</v>
      </c>
      <c r="E7" s="3">
        <f>D7/25.4</f>
        <v>19.685039370078741</v>
      </c>
      <c r="G7" t="s">
        <v>49</v>
      </c>
      <c r="J7" s="3">
        <f>SIN(RADIANS(P8))*Q6/SIN(RADIANS(C18))</f>
        <v>561.30412534229879</v>
      </c>
      <c r="K7" s="3"/>
      <c r="N7" t="s">
        <v>62</v>
      </c>
      <c r="O7" t="s">
        <v>61</v>
      </c>
      <c r="P7">
        <f>DEGREES(ASIN(SIN(RADIANS(B16))*D7/Q6))</f>
        <v>52.500000000000007</v>
      </c>
      <c r="Q7" s="3"/>
      <c r="R7" s="3"/>
    </row>
    <row r="8" spans="1:18">
      <c r="A8" t="s">
        <v>36</v>
      </c>
      <c r="D8" s="1">
        <v>500</v>
      </c>
      <c r="E8" s="3">
        <f t="shared" ref="E8:E13" si="0">D8/25.4</f>
        <v>19.685039370078741</v>
      </c>
      <c r="G8" t="s">
        <v>50</v>
      </c>
      <c r="J8" s="3">
        <f>SIN(RADIANS(P9))*Q6/SIN(RADIANS(C18))</f>
        <v>89.99323622556291</v>
      </c>
      <c r="K8" s="3"/>
      <c r="N8" t="s">
        <v>63</v>
      </c>
      <c r="O8" t="s">
        <v>64</v>
      </c>
      <c r="P8">
        <f>C17-P7</f>
        <v>54.499999999999993</v>
      </c>
      <c r="Q8" s="3"/>
      <c r="R8" s="3"/>
    </row>
    <row r="9" spans="1:18">
      <c r="A9" t="s">
        <v>51</v>
      </c>
      <c r="D9" s="1">
        <v>28.6</v>
      </c>
      <c r="E9" s="3">
        <f t="shared" si="0"/>
        <v>1.1259842519685042</v>
      </c>
      <c r="G9" t="s">
        <v>55</v>
      </c>
      <c r="J9" s="3">
        <f>D8-0.5*D9-0.5*D12</f>
        <v>469.8</v>
      </c>
      <c r="K9" s="3">
        <f>J9/25.4</f>
        <v>18.496062992125985</v>
      </c>
      <c r="N9" t="s">
        <v>67</v>
      </c>
      <c r="O9" t="s">
        <v>68</v>
      </c>
      <c r="P9">
        <f>180-P8-C18</f>
        <v>7.5</v>
      </c>
      <c r="Q9" s="3"/>
      <c r="R9" s="3"/>
    </row>
    <row r="10" spans="1:18">
      <c r="A10" t="s">
        <v>52</v>
      </c>
      <c r="D10" s="1">
        <v>25.4</v>
      </c>
      <c r="E10" s="3">
        <f t="shared" si="0"/>
        <v>1</v>
      </c>
      <c r="G10" t="s">
        <v>79</v>
      </c>
      <c r="J10" s="3">
        <f>J7-0.5*D12</f>
        <v>545.40412534229881</v>
      </c>
      <c r="K10" s="3">
        <f t="shared" ref="K10:K22" si="1">J10/25.4</f>
        <v>21.472603359933025</v>
      </c>
      <c r="Q10" s="3"/>
      <c r="R10" s="3"/>
    </row>
    <row r="11" spans="1:18">
      <c r="A11" t="s">
        <v>53</v>
      </c>
      <c r="D11" s="1">
        <v>28.6</v>
      </c>
      <c r="E11" s="3">
        <f t="shared" si="0"/>
        <v>1.1259842519685042</v>
      </c>
      <c r="G11" t="s">
        <v>66</v>
      </c>
      <c r="J11" s="3">
        <f>D7-0.5*D13+0.5*D10</f>
        <v>493.65</v>
      </c>
      <c r="K11" s="3">
        <f t="shared" si="1"/>
        <v>19.435039370078741</v>
      </c>
      <c r="Q11" s="3"/>
      <c r="R11" s="3"/>
    </row>
    <row r="12" spans="1:18">
      <c r="A12" t="s">
        <v>54</v>
      </c>
      <c r="D12" s="1">
        <v>31.8</v>
      </c>
      <c r="E12" s="3">
        <f t="shared" si="0"/>
        <v>1.2519685039370079</v>
      </c>
      <c r="J12" s="3"/>
      <c r="K12" s="3"/>
      <c r="Q12" s="3"/>
      <c r="R12" s="3"/>
    </row>
    <row r="13" spans="1:18">
      <c r="A13" t="s">
        <v>65</v>
      </c>
      <c r="D13" s="1">
        <v>38.1</v>
      </c>
      <c r="E13" s="3">
        <f t="shared" si="0"/>
        <v>1.5000000000000002</v>
      </c>
      <c r="J13" s="3"/>
      <c r="K13" s="3"/>
      <c r="Q13" s="3"/>
      <c r="R13" s="3"/>
    </row>
    <row r="14" spans="1:18">
      <c r="E14" s="3"/>
      <c r="J14" s="3"/>
      <c r="K14" s="3"/>
      <c r="Q14" s="3"/>
      <c r="R14" s="3"/>
    </row>
    <row r="15" spans="1:18">
      <c r="A15" t="s">
        <v>45</v>
      </c>
      <c r="B15" s="1">
        <v>60</v>
      </c>
      <c r="E15" s="3"/>
      <c r="G15" t="s">
        <v>58</v>
      </c>
      <c r="I15">
        <f>B15+B16+C17+C18</f>
        <v>360</v>
      </c>
      <c r="J15" s="3"/>
      <c r="K15" s="3"/>
      <c r="Q15" s="3"/>
      <c r="R15" s="3"/>
    </row>
    <row r="16" spans="1:18">
      <c r="A16" t="s">
        <v>46</v>
      </c>
      <c r="B16" s="1">
        <v>75</v>
      </c>
      <c r="E16" s="3"/>
      <c r="J16" s="3"/>
      <c r="K16" s="3"/>
      <c r="Q16" s="3"/>
      <c r="R16" s="3"/>
    </row>
    <row r="17" spans="1:18">
      <c r="A17" t="s">
        <v>47</v>
      </c>
      <c r="B17" s="1">
        <v>73</v>
      </c>
      <c r="C17">
        <f>180-B17</f>
        <v>107</v>
      </c>
      <c r="E17" s="3"/>
      <c r="J17" s="3"/>
      <c r="K17" s="3"/>
      <c r="Q17" s="3"/>
      <c r="R17" s="3"/>
    </row>
    <row r="18" spans="1:18">
      <c r="A18" t="s">
        <v>48</v>
      </c>
      <c r="B18" s="1">
        <v>62</v>
      </c>
      <c r="C18">
        <f>180-B18</f>
        <v>118</v>
      </c>
      <c r="E18" s="3"/>
      <c r="J18" s="3"/>
      <c r="K18" s="3"/>
      <c r="Q18" s="3"/>
      <c r="R18" s="3"/>
    </row>
    <row r="19" spans="1:18">
      <c r="E19" s="3"/>
      <c r="J19" s="3"/>
      <c r="K19" s="3"/>
      <c r="Q19" s="3"/>
      <c r="R19" s="3"/>
    </row>
    <row r="20" spans="1:18" s="6" customFormat="1">
      <c r="A20" s="6" t="s">
        <v>27</v>
      </c>
      <c r="E20" s="7"/>
      <c r="I20" s="6" t="s">
        <v>27</v>
      </c>
      <c r="J20" s="7"/>
      <c r="K20" s="7"/>
      <c r="P20" s="6" t="s">
        <v>27</v>
      </c>
      <c r="Q20" s="7"/>
      <c r="R20" s="7"/>
    </row>
    <row r="21" spans="1:18">
      <c r="E21" s="3"/>
      <c r="J21" s="3"/>
      <c r="K21" s="3"/>
      <c r="Q21" s="3"/>
      <c r="R21" s="3"/>
    </row>
    <row r="22" spans="1:18">
      <c r="A22" t="s">
        <v>44</v>
      </c>
      <c r="D22">
        <v>430</v>
      </c>
      <c r="E22" s="3">
        <f>D22/25.4</f>
        <v>16.929133858267718</v>
      </c>
      <c r="G22" t="s">
        <v>70</v>
      </c>
      <c r="H22" t="s">
        <v>81</v>
      </c>
      <c r="I22" s="5"/>
      <c r="J22" s="5">
        <f>COS(RADIANS(B25))*D22</f>
        <v>426.79484520576847</v>
      </c>
      <c r="K22" s="5">
        <f t="shared" si="1"/>
        <v>16.80294666164443</v>
      </c>
      <c r="Q22" s="3"/>
      <c r="R22" s="3"/>
    </row>
    <row r="23" spans="1:18">
      <c r="A23" t="s">
        <v>80</v>
      </c>
      <c r="B23">
        <v>64</v>
      </c>
      <c r="E23" s="3"/>
      <c r="G23" t="s">
        <v>12</v>
      </c>
      <c r="I23" s="5">
        <f>B23+B15</f>
        <v>124</v>
      </c>
      <c r="J23" s="5"/>
      <c r="K23" s="5"/>
      <c r="Q23" s="3"/>
      <c r="R23" s="3"/>
    </row>
    <row r="24" spans="1:18">
      <c r="E24" s="3"/>
      <c r="G24" t="s">
        <v>75</v>
      </c>
      <c r="I24" s="5">
        <f>DEGREES(ASIN(D7*SIN(RADIANS(B23))/J25))</f>
        <v>65.204339813452506</v>
      </c>
      <c r="J24" s="5"/>
      <c r="K24" s="5"/>
      <c r="Q24" s="3"/>
      <c r="R24" s="3"/>
    </row>
    <row r="25" spans="1:18">
      <c r="A25" t="s">
        <v>69</v>
      </c>
      <c r="B25">
        <v>7</v>
      </c>
      <c r="E25" s="3"/>
      <c r="G25" t="s">
        <v>76</v>
      </c>
      <c r="J25" s="5">
        <f>SQRT(J22^2+D7^2-2*J22*D7*COS(RADIANS(B23)))</f>
        <v>495.03463935132493</v>
      </c>
      <c r="K25" s="5">
        <f>J25/25.4</f>
        <v>19.489552730367123</v>
      </c>
      <c r="Q25" s="3"/>
      <c r="R25" s="3"/>
    </row>
    <row r="26" spans="1:18">
      <c r="E26" s="3"/>
      <c r="G26" t="s">
        <v>77</v>
      </c>
      <c r="I26" s="10">
        <f>180-I24-B23</f>
        <v>50.795660186547494</v>
      </c>
      <c r="J26" s="5"/>
      <c r="K26" s="5"/>
      <c r="Q26" s="3"/>
      <c r="R26" s="3"/>
    </row>
    <row r="27" spans="1:18">
      <c r="E27" s="3"/>
      <c r="J27" s="5"/>
      <c r="K27" s="5"/>
      <c r="Q27" s="3"/>
      <c r="R27" s="3"/>
    </row>
    <row r="28" spans="1:18" s="6" customFormat="1">
      <c r="A28" s="6" t="s">
        <v>28</v>
      </c>
      <c r="E28" s="7"/>
      <c r="I28" s="6" t="s">
        <v>29</v>
      </c>
      <c r="J28" s="9"/>
      <c r="K28" s="9"/>
      <c r="P28" s="6" t="s">
        <v>28</v>
      </c>
      <c r="Q28" s="7"/>
      <c r="R28" s="7"/>
    </row>
    <row r="29" spans="1:18">
      <c r="E29" s="3"/>
      <c r="J29" s="5"/>
      <c r="K29" s="5"/>
      <c r="Q29" s="3"/>
      <c r="R29" s="3"/>
    </row>
    <row r="30" spans="1:18">
      <c r="E30" s="3"/>
      <c r="G30" t="s">
        <v>25</v>
      </c>
      <c r="I30" s="5"/>
      <c r="J30" s="5">
        <f>(J40*COS(RADIANS(I43))-D32)/SIN(RADIANS(I43))</f>
        <v>76.646083818605931</v>
      </c>
      <c r="K30" s="5">
        <f>J30/25.4</f>
        <v>3.0175623550632258</v>
      </c>
      <c r="N30" t="s">
        <v>73</v>
      </c>
      <c r="O30" t="s">
        <v>74</v>
      </c>
      <c r="P30" s="4"/>
      <c r="Q30" s="4">
        <f>SQRT(D31^2-D32^2)</f>
        <v>387.39514710434872</v>
      </c>
      <c r="R30" s="4">
        <f>Q30/25.4</f>
        <v>15.251777445053101</v>
      </c>
    </row>
    <row r="31" spans="1:18">
      <c r="A31" t="s">
        <v>39</v>
      </c>
      <c r="D31">
        <v>390</v>
      </c>
      <c r="E31" s="3">
        <f>D31/25.4</f>
        <v>15.354330708661418</v>
      </c>
      <c r="G31" t="s">
        <v>6</v>
      </c>
      <c r="H31" t="s">
        <v>7</v>
      </c>
      <c r="I31" s="5"/>
      <c r="J31" s="5">
        <f>SQRT(J7^2+Q31^2-2*J7*Q31*COS(RADIANS(P33)))</f>
        <v>564.89550127008636</v>
      </c>
      <c r="K31" s="5">
        <f>J31/25.4</f>
        <v>22.23998036496403</v>
      </c>
      <c r="N31" t="s">
        <v>0</v>
      </c>
      <c r="O31" t="s">
        <v>1</v>
      </c>
      <c r="P31" s="4"/>
      <c r="Q31" s="4">
        <f>SQRT(D32^2+(D33+Q30)^2)</f>
        <v>429.75761979090942</v>
      </c>
      <c r="R31" s="4">
        <f>Q31/25.4</f>
        <v>16.919591330350766</v>
      </c>
    </row>
    <row r="32" spans="1:18">
      <c r="A32" t="s">
        <v>40</v>
      </c>
      <c r="D32">
        <v>45</v>
      </c>
      <c r="E32" s="3">
        <f t="shared" ref="E32:E33" si="2">D32/25.4</f>
        <v>1.7716535433070868</v>
      </c>
      <c r="G32" t="s">
        <v>13</v>
      </c>
      <c r="H32" t="s">
        <v>14</v>
      </c>
      <c r="I32" s="5"/>
      <c r="J32" s="5">
        <f>SQRT(J31^2+J22^2-2*J31*J22*COS(RADIANS(P35)))</f>
        <v>987.1024325144781</v>
      </c>
      <c r="K32" s="5">
        <f t="shared" ref="K32:K35" si="3">J32/25.4</f>
        <v>38.862300492695994</v>
      </c>
      <c r="N32" t="s">
        <v>2</v>
      </c>
      <c r="O32" t="s">
        <v>3</v>
      </c>
      <c r="P32" s="4">
        <f>DEGREES(ASIN(D32/Q31))</f>
        <v>6.0104693574544905</v>
      </c>
      <c r="Q32" s="4"/>
      <c r="R32" s="4"/>
    </row>
    <row r="33" spans="1:18">
      <c r="A33" t="s">
        <v>41</v>
      </c>
      <c r="D33">
        <v>40</v>
      </c>
      <c r="E33" s="3">
        <f t="shared" si="2"/>
        <v>1.5748031496062993</v>
      </c>
      <c r="G33" t="s">
        <v>15</v>
      </c>
      <c r="H33" t="s">
        <v>16</v>
      </c>
      <c r="I33" s="5"/>
      <c r="J33" s="5">
        <f>J22*SIN(RADIANS(P36))</f>
        <v>47.172113012388394</v>
      </c>
      <c r="K33" s="5">
        <f t="shared" si="3"/>
        <v>1.8571698036373385</v>
      </c>
      <c r="N33" t="s">
        <v>4</v>
      </c>
      <c r="O33" t="s">
        <v>5</v>
      </c>
      <c r="P33" s="4">
        <f>B18+P32</f>
        <v>68.010469357454497</v>
      </c>
      <c r="Q33" s="4"/>
      <c r="R33" s="4"/>
    </row>
    <row r="34" spans="1:18">
      <c r="E34" s="3"/>
      <c r="H34" t="s">
        <v>19</v>
      </c>
      <c r="I34" s="5"/>
      <c r="J34" s="5">
        <f>J40-J33</f>
        <v>267.82788698761158</v>
      </c>
      <c r="K34" s="5">
        <f t="shared" si="3"/>
        <v>10.544404999512267</v>
      </c>
      <c r="N34" t="s">
        <v>8</v>
      </c>
      <c r="O34" t="s">
        <v>9</v>
      </c>
      <c r="P34" s="4">
        <f>DEGREES(ASIN(SIN(RADIANS(P33))*Q31/J31))</f>
        <v>44.864222480854693</v>
      </c>
      <c r="Q34" s="4"/>
      <c r="R34" s="4"/>
    </row>
    <row r="35" spans="1:18">
      <c r="E35" s="3"/>
      <c r="H35" t="s">
        <v>21</v>
      </c>
      <c r="I35" s="5"/>
      <c r="J35" s="5">
        <f>J31-D42-J40</f>
        <v>79.895501270086356</v>
      </c>
      <c r="K35" s="5">
        <f t="shared" si="3"/>
        <v>3.145492175987652</v>
      </c>
      <c r="N35" t="s">
        <v>10</v>
      </c>
      <c r="O35" t="s">
        <v>11</v>
      </c>
      <c r="P35" s="4">
        <f>I23+P34</f>
        <v>168.86422248085469</v>
      </c>
      <c r="Q35" s="4"/>
      <c r="R35" s="4"/>
    </row>
    <row r="36" spans="1:18">
      <c r="E36" s="3"/>
      <c r="I36" s="5"/>
      <c r="J36" s="5"/>
      <c r="K36" s="5"/>
      <c r="N36" t="s">
        <v>17</v>
      </c>
      <c r="O36" t="s">
        <v>18</v>
      </c>
      <c r="P36" s="4">
        <f>DEGREES(ASIN(SIN(RADIANS(P35))*J31/J32))</f>
        <v>6.3456631598956976</v>
      </c>
      <c r="Q36" s="4"/>
      <c r="R36" s="4"/>
    </row>
    <row r="37" spans="1:18">
      <c r="A37" s="11" t="s">
        <v>78</v>
      </c>
      <c r="E37" s="3"/>
      <c r="G37" s="11" t="s">
        <v>78</v>
      </c>
      <c r="I37" s="5"/>
      <c r="J37" s="5"/>
      <c r="K37" s="5"/>
      <c r="P37" s="4"/>
      <c r="Q37" s="4"/>
      <c r="R37" s="4"/>
    </row>
    <row r="38" spans="1:18">
      <c r="E38" s="3"/>
      <c r="I38" s="5"/>
      <c r="J38" s="5"/>
      <c r="K38" s="5"/>
      <c r="P38" s="4"/>
      <c r="Q38" s="4"/>
      <c r="R38" s="4"/>
    </row>
    <row r="39" spans="1:18">
      <c r="A39" t="s">
        <v>42</v>
      </c>
      <c r="D39">
        <v>559</v>
      </c>
      <c r="E39" s="3">
        <f>D39/25.4</f>
        <v>22.007874015748033</v>
      </c>
      <c r="G39" t="s">
        <v>71</v>
      </c>
      <c r="J39" s="3">
        <f>D39+2*D40</f>
        <v>630</v>
      </c>
      <c r="K39" s="3">
        <f>J39/25.4</f>
        <v>24.803149606299215</v>
      </c>
      <c r="P39" s="4"/>
      <c r="Q39" s="4"/>
      <c r="R39" s="4"/>
    </row>
    <row r="40" spans="1:18">
      <c r="A40" t="s">
        <v>43</v>
      </c>
      <c r="D40">
        <v>35.5</v>
      </c>
      <c r="E40" s="3">
        <f t="shared" ref="E40:E42" si="4">D40/25.4</f>
        <v>1.3976377952755907</v>
      </c>
      <c r="G40" t="s">
        <v>72</v>
      </c>
      <c r="J40" s="3">
        <f>J39/2</f>
        <v>315</v>
      </c>
      <c r="K40" s="3">
        <f>J40/25.4</f>
        <v>12.401574803149607</v>
      </c>
      <c r="P40" s="4"/>
      <c r="Q40" s="4"/>
      <c r="R40" s="4"/>
    </row>
    <row r="41" spans="1:18">
      <c r="E41" s="3"/>
      <c r="J41" s="3"/>
      <c r="K41" s="3"/>
      <c r="P41" s="4"/>
      <c r="Q41" s="4"/>
      <c r="R41" s="4"/>
    </row>
    <row r="42" spans="1:18">
      <c r="A42" t="s">
        <v>20</v>
      </c>
      <c r="D42">
        <v>170</v>
      </c>
      <c r="E42" s="3">
        <f t="shared" si="4"/>
        <v>6.6929133858267722</v>
      </c>
      <c r="J42" s="3"/>
      <c r="K42" s="3"/>
      <c r="P42" s="4"/>
      <c r="Q42" s="4"/>
      <c r="R42" s="4"/>
    </row>
    <row r="43" spans="1:18">
      <c r="E43" s="3"/>
      <c r="G43" t="s">
        <v>23</v>
      </c>
      <c r="I43" s="5">
        <f>I44-(-B15-(C18-180))</f>
        <v>68.345663159895693</v>
      </c>
      <c r="J43" s="3"/>
      <c r="K43" s="3"/>
      <c r="P43" s="4"/>
      <c r="Q43" s="4"/>
      <c r="R43" s="4"/>
    </row>
    <row r="44" spans="1:18">
      <c r="E44" s="3"/>
      <c r="G44" t="s">
        <v>22</v>
      </c>
      <c r="I44" s="5">
        <f>P36+B23</f>
        <v>70.345663159895693</v>
      </c>
      <c r="J44" s="3"/>
      <c r="K44" s="3"/>
      <c r="P44" s="4"/>
      <c r="Q44" s="4"/>
      <c r="R44" s="4"/>
    </row>
    <row r="45" spans="1:18">
      <c r="E45" s="3"/>
      <c r="G45" t="s">
        <v>24</v>
      </c>
      <c r="I45" s="5">
        <f>B16-I44</f>
        <v>4.6543368401043068</v>
      </c>
      <c r="J45" s="3"/>
      <c r="K45" s="3"/>
      <c r="P45" s="4"/>
      <c r="Q45" s="4"/>
      <c r="R45" s="4"/>
    </row>
    <row r="46" spans="1:18">
      <c r="E46" s="3"/>
      <c r="J46" s="3"/>
      <c r="K46" s="3"/>
      <c r="P46" s="4"/>
      <c r="Q46" s="4"/>
      <c r="R46" s="4"/>
    </row>
    <row r="47" spans="1:18">
      <c r="E47" s="3"/>
      <c r="J47" s="3"/>
      <c r="K47" s="3"/>
      <c r="Q47" s="3"/>
      <c r="R47" s="3"/>
    </row>
    <row r="48" spans="1:18">
      <c r="E48" s="3"/>
      <c r="J48" s="3"/>
      <c r="K48" s="3"/>
      <c r="Q48" s="3"/>
      <c r="R48" s="3"/>
    </row>
    <row r="49" spans="5:11">
      <c r="E49" s="3"/>
      <c r="J49" s="3"/>
      <c r="K49" s="3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Marc-Andre Chimonas</dc:creator>
  <cp:lastModifiedBy>Marc-Andre Chimonas</cp:lastModifiedBy>
  <dcterms:created xsi:type="dcterms:W3CDTF">2012-02-12T17:55:35Z</dcterms:created>
  <dcterms:modified xsi:type="dcterms:W3CDTF">2012-02-25T19:15:09Z</dcterms:modified>
</cp:coreProperties>
</file>